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372AB895-14C1-FC20-EB20-F1B4BCFD95A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\UNIDAD DE NEGOCIO\Tarjeta W\Simulador VTU TBW\"/>
    </mc:Choice>
  </mc:AlternateContent>
  <xr:revisionPtr revIDLastSave="0" documentId="13_ncr:1_{10BCBF0E-C816-4AA7-9C82-0432D3CED14C}" xr6:coauthVersionLast="47" xr6:coauthVersionMax="47" xr10:uidLastSave="{00000000-0000-0000-0000-000000000000}"/>
  <workbookProtection workbookAlgorithmName="SHA-512" workbookHashValue="sFePziABXkXOssGmKZ9Zjz3Xgvtmflv8Xh/hYnDGdNB90n06mVgEgGjMP3VoEnwd5GwZY7aEvgdQXv0S3zS0Kw==" workbookSaltValue="iMVf52bNUIeT6S3dCEmhOQ==" workbookSpinCount="100000" lockStructure="1"/>
  <bookViews>
    <workbookView xWindow="28680" yWindow="-120" windowWidth="20730" windowHeight="11040" xr2:uid="{FB1932CB-6B4F-430C-9621-8F8121D2654B}"/>
  </bookViews>
  <sheets>
    <sheet name="SIMULADOR VTU" sheetId="3" r:id="rId1"/>
    <sheet name="Parametros" sheetId="4" state="hidden" r:id="rId2"/>
  </sheets>
  <externalReferences>
    <externalReference r:id="rId3"/>
  </externalReferences>
  <definedNames>
    <definedName name="cuota_manejo">'[1]Base Activos'!$C$12:$E$16</definedName>
    <definedName name="RangoCupo">'[1]Base Activos'!$C$19:$D$20</definedName>
    <definedName name="SMLV">'[1]Base Activos'!$D$2</definedName>
    <definedName name="SMMLV">Parametros!#REF!</definedName>
    <definedName name="UVT">Parametros!$B$4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3" l="1"/>
  <c r="E4" i="3"/>
  <c r="B7" i="4"/>
  <c r="B6" i="4"/>
  <c r="G16" i="3"/>
  <c r="G17" i="3"/>
  <c r="G18" i="3"/>
  <c r="G19" i="3"/>
  <c r="G20" i="3"/>
  <c r="G21" i="3"/>
  <c r="G22" i="3"/>
  <c r="G23" i="3"/>
  <c r="G24" i="3"/>
  <c r="G25" i="3"/>
  <c r="G26" i="3"/>
  <c r="G27" i="3"/>
  <c r="E25" i="3"/>
  <c r="E17" i="3" l="1"/>
  <c r="E26" i="3"/>
  <c r="L15" i="3"/>
  <c r="E18" i="3"/>
  <c r="E22" i="3"/>
  <c r="E19" i="3"/>
  <c r="E23" i="3"/>
  <c r="E27" i="3"/>
  <c r="E16" i="3"/>
  <c r="E20" i="3"/>
  <c r="E24" i="3"/>
  <c r="E21" i="3"/>
  <c r="N15" i="3" l="1"/>
  <c r="M15" i="3"/>
  <c r="I5" i="3"/>
  <c r="D16" i="3" l="1"/>
  <c r="F16" i="3" s="1"/>
  <c r="H16" i="3"/>
  <c r="I16" i="3" l="1"/>
  <c r="J16" i="3"/>
  <c r="K16" i="3" s="1"/>
  <c r="L16" i="3" s="1"/>
  <c r="N16" i="3" l="1"/>
  <c r="M16" i="3"/>
  <c r="D17" i="3" l="1"/>
  <c r="F17" i="3" s="1"/>
  <c r="H17" i="3"/>
  <c r="J17" i="3" l="1"/>
  <c r="K17" i="3" s="1"/>
  <c r="L17" i="3" s="1"/>
  <c r="I17" i="3"/>
  <c r="N17" i="3" l="1"/>
  <c r="M17" i="3"/>
  <c r="D18" i="3" l="1"/>
  <c r="H18" i="3"/>
  <c r="F18" i="3" l="1"/>
  <c r="J18" i="3" s="1"/>
  <c r="I18" i="3"/>
  <c r="K18" i="3" l="1"/>
  <c r="L18" i="3" s="1"/>
  <c r="M18" i="3" s="1"/>
  <c r="N18" i="3" l="1"/>
  <c r="H19" i="3"/>
  <c r="D19" i="3"/>
  <c r="F19" i="3" s="1"/>
  <c r="J19" i="3" l="1"/>
  <c r="K19" i="3" s="1"/>
  <c r="L19" i="3" s="1"/>
  <c r="M19" i="3" s="1"/>
  <c r="I19" i="3"/>
  <c r="N19" i="3" l="1"/>
  <c r="D20" i="3"/>
  <c r="F20" i="3" s="1"/>
  <c r="H20" i="3"/>
  <c r="J20" i="3" l="1"/>
  <c r="K20" i="3" s="1"/>
  <c r="L20" i="3" s="1"/>
  <c r="M20" i="3" s="1"/>
  <c r="D21" i="3" s="1"/>
  <c r="F21" i="3" s="1"/>
  <c r="I20" i="3"/>
  <c r="H21" i="3" l="1"/>
  <c r="I21" i="3" s="1"/>
  <c r="N20" i="3"/>
  <c r="J21" i="3" l="1"/>
  <c r="K21" i="3" s="1"/>
  <c r="L21" i="3" s="1"/>
  <c r="M21" i="3" s="1"/>
  <c r="D22" i="3" s="1"/>
  <c r="H22" i="3" l="1"/>
  <c r="I22" i="3" s="1"/>
  <c r="N21" i="3"/>
  <c r="F22" i="3"/>
  <c r="J22" i="3" l="1"/>
  <c r="K22" i="3" s="1"/>
  <c r="L22" i="3" s="1"/>
  <c r="M22" i="3" s="1"/>
  <c r="D23" i="3" s="1"/>
  <c r="N22" i="3" l="1"/>
  <c r="H23" i="3"/>
  <c r="F23" i="3"/>
  <c r="I23" i="3" l="1"/>
  <c r="J23" i="3"/>
  <c r="K23" i="3" s="1"/>
  <c r="L23" i="3" l="1"/>
  <c r="M23" i="3" s="1"/>
  <c r="D24" i="3" s="1"/>
  <c r="N23" i="3" l="1"/>
  <c r="H24" i="3"/>
  <c r="F24" i="3"/>
  <c r="I24" i="3" l="1"/>
  <c r="J24" i="3"/>
  <c r="K24" i="3" s="1"/>
  <c r="L24" i="3" s="1"/>
  <c r="M24" i="3" s="1"/>
  <c r="D25" i="3" s="1"/>
  <c r="N24" i="3" l="1"/>
  <c r="H25" i="3"/>
  <c r="F25" i="3"/>
  <c r="J25" i="3" l="1"/>
  <c r="K25" i="3" s="1"/>
  <c r="L25" i="3" s="1"/>
  <c r="M25" i="3" s="1"/>
  <c r="D26" i="3" s="1"/>
  <c r="I25" i="3"/>
  <c r="N25" i="3" l="1"/>
  <c r="H26" i="3"/>
  <c r="F26" i="3"/>
  <c r="J26" i="3" l="1"/>
  <c r="K26" i="3" s="1"/>
  <c r="L26" i="3" s="1"/>
  <c r="M26" i="3" s="1"/>
  <c r="D27" i="3" s="1"/>
  <c r="I26" i="3"/>
  <c r="N26" i="3" l="1"/>
  <c r="H27" i="3"/>
  <c r="I6" i="3" s="1"/>
  <c r="I27" i="3" l="1"/>
  <c r="J27" i="3" s="1"/>
  <c r="M27" i="3" s="1"/>
  <c r="F27" i="3"/>
  <c r="I4" i="3"/>
  <c r="I7" i="3" s="1"/>
  <c r="K27" i="3" l="1"/>
  <c r="N27" i="3"/>
  <c r="N29" i="3" s="1"/>
  <c r="I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Hernan Vicente Maya Riascos</author>
  </authors>
  <commentList>
    <comment ref="B4" authorId="0" shapeId="0" xr:uid="{01407D7F-EEA4-44E4-BC15-6B9368D4EE9F}">
      <text>
        <r>
          <rPr>
            <b/>
            <sz val="9"/>
            <color indexed="81"/>
            <rFont val="Tahoma"/>
            <charset val="1"/>
          </rPr>
          <t xml:space="preserve">Resolución 193 de 2024 del 04 de diciembre del 2024. </t>
        </r>
      </text>
    </comment>
  </commentList>
</comments>
</file>

<file path=xl/sharedStrings.xml><?xml version="1.0" encoding="utf-8"?>
<sst xmlns="http://schemas.openxmlformats.org/spreadsheetml/2006/main" count="30" uniqueCount="28">
  <si>
    <t>Compra mes</t>
  </si>
  <si>
    <t>Intereses</t>
  </si>
  <si>
    <t>Abono a capital</t>
  </si>
  <si>
    <t>Cuota del crédito</t>
  </si>
  <si>
    <t>Cuota de Manejo</t>
  </si>
  <si>
    <t>Pago Total</t>
  </si>
  <si>
    <t>Pago efectivamente realizado</t>
  </si>
  <si>
    <t>Nuevo Cupo Disponible</t>
  </si>
  <si>
    <t>Nuevos consumos</t>
  </si>
  <si>
    <t>Saldo capital</t>
  </si>
  <si>
    <t>Flujos</t>
  </si>
  <si>
    <t>Tasa de interes compras</t>
  </si>
  <si>
    <t>Cupo</t>
  </si>
  <si>
    <t>Plazo diferido</t>
  </si>
  <si>
    <t>Cuota de manejo mensual</t>
  </si>
  <si>
    <t>Meses exonerados</t>
  </si>
  <si>
    <t>Cuota de manejo</t>
  </si>
  <si>
    <t>VTUA pesos</t>
  </si>
  <si>
    <t>VTUA %</t>
  </si>
  <si>
    <t>Cupo en en UVT</t>
  </si>
  <si>
    <t>UNIDADES UVT</t>
  </si>
  <si>
    <t>Seguro deudor obligatorio</t>
  </si>
  <si>
    <t>Tarifa seguro deudor</t>
  </si>
  <si>
    <t>TIR</t>
  </si>
  <si>
    <t>Resultados VTUA</t>
  </si>
  <si>
    <t>Datos del cálculo</t>
  </si>
  <si>
    <t>CUPO EN $</t>
  </si>
  <si>
    <t>UVT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</si>
</sst>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00"/>
    <numFmt numFmtId="165" formatCode="_-* #,##0.00\ _€_-;\-* #,##0.00\ _€_-;_-* &quot;-&quot;??\ _€_-;_-@_-"/>
    <numFmt numFmtId="166" formatCode="_-* #,##0\ _€_-;\-* #,##0\ _€_-;_-* &quot;-&quot;??\ _€_-;_-@_-"/>
    <numFmt numFmtId="167" formatCode="_(&quot;$&quot;\ * #,##0.00_);_(&quot;$&quot;\ * \(#,##0.00\);_(&quot;$&quot;\ * &quot;-&quot;??_);_(@_)"/>
    <numFmt numFmtId="168" formatCode="_(&quot;$&quot;\ * #,##0_);_(&quot;$&quot;\ * \(#,##0\);_(&quot;$&quot;\ * &quot;-&quot;??_);_(@_)"/>
    <numFmt numFmtId="169" formatCode="_(* #,##0.00_);_(* \(#,##0.00\);_(* &quot;-&quot;??_);_(@_)"/>
    <numFmt numFmtId="170" formatCode="0.00%\ &quot;ea&quot;"/>
    <numFmt numFmtId="171" formatCode="_-&quot;$&quot;* #,##0.00_-;\-&quot;$&quot;* #,##0.00_-;_-&quot;$&quot;* &quot;-&quot;??_-;_-@_-"/>
    <numFmt numFmtId="172" formatCode="0.00%\ &quot;nmv&quot;"/>
    <numFmt numFmtId="173" formatCode="0.00%\ &quot;n.m.v&quot;"/>
    <numFmt numFmtId="174" formatCode="&quot;$&quot;\ #,##0"/>
    <numFmt numFmtId="175" formatCode="#,##0\ &quot;meses&quot;"/>
    <numFmt numFmtId="176" formatCode="#,##0.00\ &quot;UVT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3399"/>
      <name val="Arial"/>
      <family val="2"/>
    </font>
    <font>
      <sz val="10"/>
      <name val="Arial"/>
      <family val="2"/>
    </font>
    <font>
      <sz val="12"/>
      <color theme="1"/>
      <name val="Arial Narrow"/>
      <family val="2"/>
    </font>
    <font>
      <b/>
      <sz val="12"/>
      <color theme="1" tint="0.34998626667073579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sz val="12"/>
      <color rgb="FF003399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5F259F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double">
        <color theme="2" tint="-0.249977111117893"/>
      </left>
      <right/>
      <top style="double">
        <color theme="2" tint="-0.249977111117893"/>
      </top>
      <bottom/>
      <diagonal/>
    </border>
    <border>
      <left/>
      <right/>
      <top style="double">
        <color theme="2" tint="-0.249977111117893"/>
      </top>
      <bottom/>
      <diagonal/>
    </border>
    <border>
      <left/>
      <right style="double">
        <color theme="2" tint="-0.249977111117893"/>
      </right>
      <top style="double">
        <color theme="2" tint="-0.249977111117893"/>
      </top>
      <bottom/>
      <diagonal/>
    </border>
    <border>
      <left style="double">
        <color theme="2" tint="-0.249977111117893"/>
      </left>
      <right/>
      <top/>
      <bottom/>
      <diagonal/>
    </border>
    <border>
      <left/>
      <right style="double">
        <color theme="2" tint="-0.249977111117893"/>
      </right>
      <top/>
      <bottom/>
      <diagonal/>
    </border>
    <border>
      <left style="double">
        <color theme="2" tint="-0.249977111117893"/>
      </left>
      <right/>
      <top/>
      <bottom style="double">
        <color theme="2" tint="-0.249977111117893"/>
      </bottom>
      <diagonal/>
    </border>
    <border>
      <left/>
      <right/>
      <top/>
      <bottom style="double">
        <color theme="2" tint="-0.249977111117893"/>
      </bottom>
      <diagonal/>
    </border>
    <border>
      <left/>
      <right style="double">
        <color theme="2" tint="-0.249977111117893"/>
      </right>
      <top/>
      <bottom style="double">
        <color theme="2" tint="-0.249977111117893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164" fontId="3" fillId="3" borderId="6" xfId="0" applyNumberFormat="1" applyFont="1" applyFill="1" applyBorder="1" applyAlignment="1">
      <alignment horizontal="left" vertical="center" indent="1"/>
    </xf>
    <xf numFmtId="174" fontId="4" fillId="3" borderId="4" xfId="1" applyNumberFormat="1" applyFont="1" applyFill="1" applyBorder="1" applyAlignment="1" applyProtection="1">
      <alignment horizontal="center" vertical="center"/>
    </xf>
    <xf numFmtId="43" fontId="4" fillId="3" borderId="4" xfId="1" applyFont="1" applyFill="1" applyBorder="1" applyAlignment="1" applyProtection="1">
      <alignment horizontal="center" vertical="center"/>
    </xf>
    <xf numFmtId="1" fontId="7" fillId="3" borderId="4" xfId="1" applyNumberFormat="1" applyFont="1" applyFill="1" applyBorder="1" applyAlignment="1" applyProtection="1">
      <alignment horizontal="center" vertical="center"/>
    </xf>
    <xf numFmtId="166" fontId="12" fillId="2" borderId="3" xfId="3" applyNumberFormat="1" applyFont="1" applyFill="1" applyBorder="1" applyAlignment="1" applyProtection="1">
      <alignment horizontal="right" vertical="center" wrapText="1"/>
    </xf>
    <xf numFmtId="167" fontId="12" fillId="2" borderId="3" xfId="4" applyFont="1" applyFill="1" applyBorder="1" applyAlignment="1" applyProtection="1">
      <alignment horizontal="center" vertical="center" wrapText="1"/>
    </xf>
    <xf numFmtId="165" fontId="12" fillId="2" borderId="3" xfId="3" applyFont="1" applyFill="1" applyBorder="1" applyAlignment="1" applyProtection="1">
      <alignment horizontal="center" vertical="center" wrapText="1"/>
    </xf>
    <xf numFmtId="168" fontId="7" fillId="2" borderId="3" xfId="4" applyNumberFormat="1" applyFont="1" applyFill="1" applyBorder="1" applyAlignment="1" applyProtection="1">
      <alignment horizontal="center" vertical="center"/>
    </xf>
    <xf numFmtId="166" fontId="7" fillId="2" borderId="3" xfId="3" applyNumberFormat="1" applyFont="1" applyFill="1" applyBorder="1" applyAlignment="1" applyProtection="1">
      <alignment horizontal="right" vertical="center"/>
    </xf>
    <xf numFmtId="10" fontId="7" fillId="2" borderId="3" xfId="4" applyNumberFormat="1" applyFont="1" applyFill="1" applyBorder="1" applyAlignment="1" applyProtection="1">
      <alignment horizontal="center" vertical="center"/>
    </xf>
    <xf numFmtId="170" fontId="7" fillId="2" borderId="11" xfId="2" applyNumberFormat="1" applyFont="1" applyFill="1" applyBorder="1" applyAlignment="1" applyProtection="1">
      <alignment horizontal="center" vertical="center"/>
    </xf>
    <xf numFmtId="172" fontId="7" fillId="2" borderId="11" xfId="2" applyNumberFormat="1" applyFont="1" applyFill="1" applyBorder="1" applyAlignment="1" applyProtection="1">
      <alignment horizontal="center" vertical="center"/>
    </xf>
    <xf numFmtId="174" fontId="7" fillId="2" borderId="11" xfId="1" applyNumberFormat="1" applyFont="1" applyFill="1" applyBorder="1" applyAlignment="1" applyProtection="1">
      <alignment horizontal="center" vertical="center"/>
    </xf>
    <xf numFmtId="175" fontId="7" fillId="2" borderId="11" xfId="1" applyNumberFormat="1" applyFont="1" applyFill="1" applyBorder="1" applyAlignment="1" applyProtection="1">
      <alignment horizontal="center" vertical="center"/>
    </xf>
    <xf numFmtId="0" fontId="5" fillId="0" borderId="0" xfId="0" applyFont="1"/>
    <xf numFmtId="0" fontId="5" fillId="0" borderId="17" xfId="0" applyFont="1" applyBorder="1"/>
    <xf numFmtId="0" fontId="5" fillId="2" borderId="0" xfId="5" applyFont="1" applyFill="1"/>
    <xf numFmtId="168" fontId="5" fillId="2" borderId="7" xfId="5" applyNumberFormat="1" applyFont="1" applyFill="1" applyBorder="1" applyAlignment="1">
      <alignment vertical="center"/>
    </xf>
    <xf numFmtId="167" fontId="5" fillId="2" borderId="0" xfId="5" applyNumberFormat="1" applyFont="1" applyFill="1"/>
    <xf numFmtId="0" fontId="0" fillId="0" borderId="18" xfId="0" applyBorder="1"/>
    <xf numFmtId="173" fontId="8" fillId="2" borderId="0" xfId="8" applyNumberFormat="1" applyFont="1" applyFill="1" applyBorder="1" applyAlignment="1" applyProtection="1">
      <alignment horizontal="center"/>
    </xf>
    <xf numFmtId="166" fontId="5" fillId="2" borderId="0" xfId="3" applyNumberFormat="1" applyFont="1" applyFill="1" applyBorder="1" applyAlignment="1" applyProtection="1">
      <alignment horizontal="center"/>
    </xf>
    <xf numFmtId="168" fontId="5" fillId="2" borderId="0" xfId="5" applyNumberFormat="1" applyFont="1" applyFill="1"/>
    <xf numFmtId="10" fontId="5" fillId="2" borderId="7" xfId="5" applyNumberFormat="1" applyFont="1" applyFill="1" applyBorder="1" applyAlignment="1">
      <alignment horizontal="center" vertical="center"/>
    </xf>
    <xf numFmtId="0" fontId="5" fillId="2" borderId="0" xfId="5" applyFont="1" applyFill="1" applyAlignment="1">
      <alignment horizontal="center"/>
    </xf>
    <xf numFmtId="0" fontId="9" fillId="2" borderId="0" xfId="5" applyFont="1" applyFill="1"/>
    <xf numFmtId="0" fontId="5" fillId="2" borderId="0" xfId="5" applyFont="1" applyFill="1" applyAlignment="1">
      <alignment vertical="center"/>
    </xf>
    <xf numFmtId="164" fontId="10" fillId="0" borderId="6" xfId="0" applyNumberFormat="1" applyFont="1" applyBorder="1" applyAlignment="1">
      <alignment horizontal="left" vertical="center" wrapText="1"/>
    </xf>
    <xf numFmtId="164" fontId="10" fillId="0" borderId="0" xfId="0" applyNumberFormat="1" applyFont="1" applyAlignment="1">
      <alignment horizontal="left" vertical="center" wrapText="1"/>
    </xf>
    <xf numFmtId="164" fontId="6" fillId="3" borderId="5" xfId="0" applyNumberFormat="1" applyFont="1" applyFill="1" applyBorder="1" applyAlignment="1">
      <alignment horizontal="left" vertical="center" indent="1"/>
    </xf>
    <xf numFmtId="164" fontId="6" fillId="3" borderId="10" xfId="0" applyNumberFormat="1" applyFont="1" applyFill="1" applyBorder="1" applyAlignment="1">
      <alignment vertical="center"/>
    </xf>
    <xf numFmtId="0" fontId="5" fillId="0" borderId="19" xfId="0" applyFont="1" applyBorder="1"/>
    <xf numFmtId="0" fontId="5" fillId="2" borderId="20" xfId="5" applyFont="1" applyFill="1" applyBorder="1"/>
    <xf numFmtId="166" fontId="5" fillId="2" borderId="20" xfId="5" applyNumberFormat="1" applyFont="1" applyFill="1" applyBorder="1"/>
    <xf numFmtId="0" fontId="0" fillId="0" borderId="21" xfId="0" applyBorder="1"/>
    <xf numFmtId="164" fontId="11" fillId="5" borderId="1" xfId="0" applyNumberFormat="1" applyFont="1" applyFill="1" applyBorder="1" applyAlignment="1">
      <alignment horizontal="center" vertical="center" wrapText="1"/>
    </xf>
    <xf numFmtId="164" fontId="11" fillId="5" borderId="2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5" fillId="0" borderId="14" xfId="0" applyFont="1" applyBorder="1"/>
    <xf numFmtId="0" fontId="5" fillId="0" borderId="15" xfId="0" applyFont="1" applyBorder="1"/>
    <xf numFmtId="0" fontId="0" fillId="0" borderId="16" xfId="0" applyBorder="1"/>
    <xf numFmtId="174" fontId="12" fillId="3" borderId="11" xfId="1" applyNumberFormat="1" applyFont="1" applyFill="1" applyBorder="1" applyAlignment="1" applyProtection="1">
      <alignment horizontal="center" vertical="center"/>
      <protection locked="0"/>
    </xf>
    <xf numFmtId="176" fontId="7" fillId="2" borderId="11" xfId="1" applyNumberFormat="1" applyFont="1" applyFill="1" applyBorder="1" applyAlignment="1" applyProtection="1">
      <alignment horizontal="center" vertical="center"/>
    </xf>
    <xf numFmtId="164" fontId="6" fillId="3" borderId="12" xfId="0" applyNumberFormat="1" applyFont="1" applyFill="1" applyBorder="1" applyAlignment="1">
      <alignment horizontal="left" vertical="center"/>
    </xf>
    <xf numFmtId="164" fontId="6" fillId="3" borderId="13" xfId="0" applyNumberFormat="1" applyFont="1" applyFill="1" applyBorder="1" applyAlignment="1">
      <alignment horizontal="left" vertical="center"/>
    </xf>
    <xf numFmtId="0" fontId="11" fillId="5" borderId="9" xfId="0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left" vertical="center"/>
    </xf>
    <xf numFmtId="164" fontId="6" fillId="3" borderId="7" xfId="0" applyNumberFormat="1" applyFont="1" applyFill="1" applyBorder="1" applyAlignment="1">
      <alignment horizontal="left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</cellXfs>
  <cellStyles count="9">
    <cellStyle name="Millares" xfId="1" builtinId="3"/>
    <cellStyle name="Millares 3" xfId="6" xr:uid="{773C79AD-A35A-4657-B073-8D72A076B701}"/>
    <cellStyle name="Millares 4" xfId="3" xr:uid="{BE1670AB-4624-4AE5-A38F-5716EECA2778}"/>
    <cellStyle name="Moneda 4" xfId="7" xr:uid="{A81C4851-AC73-48C6-BABD-50DD35AA21BC}"/>
    <cellStyle name="Moneda 4 2" xfId="4" xr:uid="{1A6759DE-10A6-4008-81FD-86875BAB42B3}"/>
    <cellStyle name="Normal" xfId="0" builtinId="0"/>
    <cellStyle name="Normal 3" xfId="5" xr:uid="{87983412-405C-48E2-8F03-7AA45EEBA3BC}"/>
    <cellStyle name="Porcentaje" xfId="2" builtinId="5"/>
    <cellStyle name="Porcentaje 4" xfId="8" xr:uid="{656B0967-C7BF-4412-872F-4DDC05F426DB}"/>
  </cellStyles>
  <dxfs count="2"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5F25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619126</xdr:colOff>
      <xdr:row>8</xdr:row>
      <xdr:rowOff>17146</xdr:rowOff>
    </xdr:from>
    <xdr:to>
      <xdr:col>13</xdr:col>
      <xdr:colOff>601980</xdr:colOff>
      <xdr:row>9</xdr:row>
      <xdr:rowOff>102870</xdr:rowOff>
    </xdr:to>
    <xdr:sp macro="[0]!NORMA" textlink="">
      <xdr:nvSpPr>
        <xdr:cNvPr id="2" name="Rectángulo 1">
          <a:extLst>
            <a:ext uri="{FF2B5EF4-FFF2-40B4-BE49-F238E27FC236}">
              <a16:creationId xmlns:a16="http://schemas.microsoft.com/office/drawing/2014/main" id="{28C22AB2-AFCB-7235-A1F6-3DBF67DC478F}"/>
            </a:ext>
          </a:extLst>
        </xdr:cNvPr>
        <xdr:cNvSpPr/>
      </xdr:nvSpPr>
      <xdr:spPr>
        <a:xfrm>
          <a:off x="7903846" y="1556386"/>
          <a:ext cx="2406014" cy="291464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chemeClr val="bg1"/>
              </a:solidFill>
            </a:rPr>
            <a:t>Detalle</a:t>
          </a:r>
          <a:r>
            <a:rPr lang="es-CO" sz="1100" b="1" baseline="0">
              <a:solidFill>
                <a:schemeClr val="bg1"/>
              </a:solidFill>
            </a:rPr>
            <a:t> norma VTU Tarjeta de crédito</a:t>
          </a:r>
          <a:endParaRPr lang="es-CO" sz="11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10</xdr:col>
      <xdr:colOff>476850</xdr:colOff>
      <xdr:row>2</xdr:row>
      <xdr:rowOff>45720</xdr:rowOff>
    </xdr:from>
    <xdr:to>
      <xdr:col>14</xdr:col>
      <xdr:colOff>11747</xdr:colOff>
      <xdr:row>7</xdr:row>
      <xdr:rowOff>121920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2DE427D-36C1-2C15-A25F-C80B27BCC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1570" y="396240"/>
          <a:ext cx="2769270" cy="1066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reyes\Desktop\VTUA-ACTIVOS.xlsm" TargetMode="External"/><Relationship Id="rId1" Type="http://schemas.openxmlformats.org/officeDocument/2006/relationships/externalLinkPath" Target="file:///C:\Users\Anreyes\Desktop\VTUA-ACTIV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Simulador"/>
      <sheetName val="Consumo"/>
      <sheetName val="Rotativo"/>
      <sheetName val="TarjetaCrédito"/>
      <sheetName val="Sobregiro"/>
      <sheetName val="VTU"/>
      <sheetName val="Vivienda"/>
      <sheetName val="Base Activos"/>
      <sheetName val="Carta_Consumo1"/>
      <sheetName val="Carta_Consumo2"/>
      <sheetName val="Carta_Tarj_Rot1"/>
      <sheetName val="Carta_Tarj_Rot2"/>
      <sheetName val="Carta_Vivienda1"/>
      <sheetName val="Carta_Vivienda2"/>
      <sheetName val="BaseCarta"/>
      <sheetName val="VariablesCarta"/>
      <sheetName val="ZonasHip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D2">
            <v>908526</v>
          </cell>
        </row>
        <row r="12">
          <cell r="D12" t="str">
            <v>Trimestral</v>
          </cell>
          <cell r="E12" t="str">
            <v>Mensual</v>
          </cell>
        </row>
        <row r="13">
          <cell r="C13" t="str">
            <v>Clásica</v>
          </cell>
          <cell r="D13">
            <v>67500</v>
          </cell>
          <cell r="E13">
            <v>22500</v>
          </cell>
        </row>
        <row r="14">
          <cell r="C14" t="str">
            <v xml:space="preserve">Oro </v>
          </cell>
          <cell r="D14">
            <v>82200</v>
          </cell>
          <cell r="E14">
            <v>27400</v>
          </cell>
        </row>
        <row r="15">
          <cell r="C15" t="str">
            <v>Platinum</v>
          </cell>
          <cell r="D15">
            <v>91500</v>
          </cell>
          <cell r="E15">
            <v>30500</v>
          </cell>
        </row>
        <row r="16">
          <cell r="C16" t="str">
            <v>Black/signature/Infinite</v>
          </cell>
          <cell r="D16">
            <v>119100</v>
          </cell>
          <cell r="E16">
            <v>39700</v>
          </cell>
        </row>
        <row r="19">
          <cell r="C19" t="str">
            <v>menos de 2 MM</v>
          </cell>
          <cell r="D19">
            <v>1</v>
          </cell>
        </row>
        <row r="20">
          <cell r="C20" t="str">
            <v>más de 2 MM</v>
          </cell>
          <cell r="D20">
            <v>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27977-CD6D-44DD-B7B3-991E4653929C}">
  <sheetPr codeName="Hoja1">
    <pageSetUpPr fitToPage="1"/>
  </sheetPr>
  <dimension ref="A1:P35"/>
  <sheetViews>
    <sheetView showGridLines="0" tabSelected="1" zoomScale="120" zoomScaleNormal="120" workbookViewId="0">
      <selection activeCell="E7" sqref="E7"/>
    </sheetView>
  </sheetViews>
  <sheetFormatPr baseColWidth="10" defaultColWidth="0" defaultRowHeight="15.5" zeroHeight="1" x14ac:dyDescent="0.35"/>
  <cols>
    <col min="1" max="1" width="4.453125" style="15" customWidth="1"/>
    <col min="2" max="2" width="2.26953125" style="15" customWidth="1"/>
    <col min="3" max="3" width="11.7265625" style="15" bestFit="1" customWidth="1"/>
    <col min="4" max="4" width="16.81640625" style="15" customWidth="1"/>
    <col min="5" max="5" width="17.7265625" style="15" customWidth="1"/>
    <col min="6" max="8" width="11.7265625" style="15" bestFit="1" customWidth="1"/>
    <col min="9" max="9" width="17.7265625" style="15" customWidth="1"/>
    <col min="10" max="13" width="11.7265625" style="15" bestFit="1" customWidth="1"/>
    <col min="14" max="14" width="12.26953125" style="15" bestFit="1" customWidth="1"/>
    <col min="15" max="15" width="2.26953125" customWidth="1"/>
    <col min="16" max="16" width="11.54296875" style="15" customWidth="1"/>
    <col min="17" max="16384" width="11.54296875" style="15" hidden="1"/>
  </cols>
  <sheetData>
    <row r="1" spans="2:15" ht="9.65" customHeight="1" thickBot="1" x14ac:dyDescent="0.4"/>
    <row r="2" spans="2:15" ht="11.5" customHeight="1" thickTop="1" x14ac:dyDescent="0.35"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2:15" x14ac:dyDescent="0.35">
      <c r="B3" s="16"/>
      <c r="C3" s="46" t="s">
        <v>25</v>
      </c>
      <c r="D3" s="46"/>
      <c r="E3" s="46"/>
      <c r="G3" s="46" t="s">
        <v>24</v>
      </c>
      <c r="H3" s="46"/>
      <c r="I3" s="46"/>
      <c r="O3" s="20"/>
    </row>
    <row r="4" spans="2:15" x14ac:dyDescent="0.35">
      <c r="B4" s="16"/>
      <c r="C4" s="44" t="s">
        <v>19</v>
      </c>
      <c r="D4" s="45"/>
      <c r="E4" s="43">
        <f>+E7/UVT</f>
        <v>52.63</v>
      </c>
      <c r="G4" s="48" t="s">
        <v>1</v>
      </c>
      <c r="H4" s="48"/>
      <c r="I4" s="18">
        <f>SUM(D16:D27)</f>
        <v>567151.56668210926</v>
      </c>
      <c r="J4" s="19"/>
      <c r="O4" s="20"/>
    </row>
    <row r="5" spans="2:15" x14ac:dyDescent="0.35">
      <c r="B5" s="16"/>
      <c r="C5" s="47" t="s">
        <v>11</v>
      </c>
      <c r="D5" s="47"/>
      <c r="E5" s="11">
        <v>0.2392</v>
      </c>
      <c r="F5" s="17"/>
      <c r="G5" s="48" t="s">
        <v>16</v>
      </c>
      <c r="H5" s="48"/>
      <c r="I5" s="18">
        <f>SUM(G16:G27)</f>
        <v>0</v>
      </c>
      <c r="J5" s="19"/>
      <c r="K5" s="17"/>
      <c r="L5" s="17"/>
      <c r="M5" s="17"/>
      <c r="N5" s="17"/>
      <c r="O5" s="20"/>
    </row>
    <row r="6" spans="2:15" x14ac:dyDescent="0.35">
      <c r="B6" s="16"/>
      <c r="C6" s="47"/>
      <c r="D6" s="47"/>
      <c r="E6" s="12">
        <f>(NOMINAL(E5,12))/12</f>
        <v>1.803283039996062E-2</v>
      </c>
      <c r="F6" s="21"/>
      <c r="G6" s="48" t="s">
        <v>21</v>
      </c>
      <c r="H6" s="48"/>
      <c r="I6" s="18">
        <f>+SUM(H16:H27)</f>
        <v>18839.182807559999</v>
      </c>
      <c r="J6" s="19"/>
      <c r="K6" s="17"/>
      <c r="L6" s="17"/>
      <c r="M6" s="17"/>
      <c r="N6" s="17"/>
      <c r="O6" s="20"/>
    </row>
    <row r="7" spans="2:15" x14ac:dyDescent="0.35">
      <c r="B7" s="16"/>
      <c r="C7" s="44" t="s">
        <v>12</v>
      </c>
      <c r="D7" s="45"/>
      <c r="E7" s="42">
        <v>2620921.37</v>
      </c>
      <c r="F7" s="22"/>
      <c r="G7" s="48" t="s">
        <v>17</v>
      </c>
      <c r="H7" s="48"/>
      <c r="I7" s="18">
        <f>SUM(I4:I5)</f>
        <v>567151.56668210926</v>
      </c>
      <c r="J7" s="23"/>
      <c r="K7" s="17"/>
      <c r="L7" s="17"/>
      <c r="M7" s="17"/>
      <c r="N7" s="17"/>
      <c r="O7" s="20"/>
    </row>
    <row r="8" spans="2:15" x14ac:dyDescent="0.35">
      <c r="B8" s="16"/>
      <c r="C8" s="44" t="s">
        <v>22</v>
      </c>
      <c r="D8" s="45"/>
      <c r="E8" s="13">
        <v>599</v>
      </c>
      <c r="F8" s="22"/>
      <c r="G8" s="48" t="s">
        <v>18</v>
      </c>
      <c r="H8" s="48"/>
      <c r="I8" s="24">
        <f>+(1+N29)^(12)-1</f>
        <v>0.24797796026504115</v>
      </c>
      <c r="J8" s="17"/>
      <c r="K8" s="17"/>
      <c r="L8" s="17"/>
      <c r="M8" s="17"/>
      <c r="N8" s="17"/>
      <c r="O8" s="20"/>
    </row>
    <row r="9" spans="2:15" ht="16" thickBot="1" x14ac:dyDescent="0.4">
      <c r="B9" s="16"/>
      <c r="C9" s="44" t="s">
        <v>13</v>
      </c>
      <c r="D9" s="45"/>
      <c r="E9" s="14">
        <v>12</v>
      </c>
      <c r="F9" s="25"/>
      <c r="G9" s="26"/>
      <c r="H9" s="26"/>
      <c r="I9" s="17"/>
      <c r="J9" s="17"/>
      <c r="K9" s="17"/>
      <c r="L9" s="17"/>
      <c r="M9" s="17"/>
      <c r="N9" s="17"/>
      <c r="O9" s="20"/>
    </row>
    <row r="10" spans="2:15" ht="16" thickBot="1" x14ac:dyDescent="0.4">
      <c r="B10" s="16"/>
      <c r="C10" s="44" t="s">
        <v>14</v>
      </c>
      <c r="D10" s="45"/>
      <c r="E10" s="13">
        <v>0</v>
      </c>
      <c r="F10" s="27"/>
      <c r="G10" s="28"/>
      <c r="H10" s="29"/>
      <c r="I10" s="17"/>
      <c r="J10" s="17"/>
      <c r="K10" s="17"/>
      <c r="L10" s="17"/>
      <c r="M10" s="17"/>
      <c r="N10" s="17"/>
      <c r="O10" s="20"/>
    </row>
    <row r="11" spans="2:15" ht="16" hidden="1" thickBot="1" x14ac:dyDescent="0.4">
      <c r="B11" s="16"/>
      <c r="C11" s="30" t="s">
        <v>15</v>
      </c>
      <c r="D11" s="31"/>
      <c r="E11" s="4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20"/>
    </row>
    <row r="12" spans="2:15" ht="11.5" customHeight="1" thickBot="1" x14ac:dyDescent="0.4">
      <c r="B12" s="32"/>
      <c r="C12" s="33"/>
      <c r="D12" s="33"/>
      <c r="E12" s="33"/>
      <c r="F12" s="33"/>
      <c r="G12" s="33"/>
      <c r="H12" s="33"/>
      <c r="I12" s="33"/>
      <c r="J12" s="33"/>
      <c r="K12" s="34"/>
      <c r="L12" s="33"/>
      <c r="M12" s="33"/>
      <c r="N12" s="33"/>
      <c r="O12" s="35"/>
    </row>
    <row r="13" spans="2:15" ht="16" thickTop="1" x14ac:dyDescent="0.35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2:15" ht="46.5" hidden="1" x14ac:dyDescent="0.35">
      <c r="C14" s="36" t="s">
        <v>0</v>
      </c>
      <c r="D14" s="36" t="s">
        <v>1</v>
      </c>
      <c r="E14" s="36" t="s">
        <v>2</v>
      </c>
      <c r="F14" s="37" t="s">
        <v>3</v>
      </c>
      <c r="G14" s="36" t="s">
        <v>4</v>
      </c>
      <c r="H14" s="37" t="s">
        <v>21</v>
      </c>
      <c r="I14" s="37" t="s">
        <v>5</v>
      </c>
      <c r="J14" s="36" t="s">
        <v>6</v>
      </c>
      <c r="K14" s="36" t="s">
        <v>7</v>
      </c>
      <c r="L14" s="36" t="s">
        <v>8</v>
      </c>
      <c r="M14" s="36" t="s">
        <v>9</v>
      </c>
      <c r="N14" s="36" t="s">
        <v>10</v>
      </c>
    </row>
    <row r="15" spans="2:15" hidden="1" x14ac:dyDescent="0.35">
      <c r="C15" s="5">
        <v>0</v>
      </c>
      <c r="D15" s="6"/>
      <c r="E15" s="7"/>
      <c r="F15" s="7"/>
      <c r="G15" s="6"/>
      <c r="H15" s="6"/>
      <c r="I15" s="6"/>
      <c r="J15" s="6"/>
      <c r="K15" s="6"/>
      <c r="L15" s="8">
        <f>E7</f>
        <v>2620921.37</v>
      </c>
      <c r="M15" s="8">
        <f>L15</f>
        <v>2620921.37</v>
      </c>
      <c r="N15" s="8">
        <f>-J15+L15</f>
        <v>2620921.37</v>
      </c>
    </row>
    <row r="16" spans="2:15" hidden="1" x14ac:dyDescent="0.35">
      <c r="C16" s="9">
        <v>1</v>
      </c>
      <c r="D16" s="8">
        <f>((M15)*($E$6))</f>
        <v>47262.630556842436</v>
      </c>
      <c r="E16" s="8">
        <f>($E$7/$E$9)</f>
        <v>218410.11416666667</v>
      </c>
      <c r="F16" s="8">
        <f t="shared" ref="F16:F27" si="0">+D16+E16</f>
        <v>265672.74472350912</v>
      </c>
      <c r="G16" s="8">
        <f t="shared" ref="G16:G27" si="1">IF(C16&lt;=$E$11,0,$E$10)</f>
        <v>0</v>
      </c>
      <c r="H16" s="8">
        <f>+($E$8/10^6)*M15</f>
        <v>1569.9319006300002</v>
      </c>
      <c r="I16" s="8">
        <f>M15+D16+G16+H16</f>
        <v>2669753.9324574722</v>
      </c>
      <c r="J16" s="8">
        <f>F16+G16+H16</f>
        <v>267242.67662413913</v>
      </c>
      <c r="K16" s="8">
        <f>$E$7-($E$7-(J16-(G16+D16+H16)))</f>
        <v>218410.11416666675</v>
      </c>
      <c r="L16" s="8">
        <f>K16</f>
        <v>218410.11416666675</v>
      </c>
      <c r="M16" s="8">
        <f>((M15+L16)-(J16-(G16+D16+H16)))</f>
        <v>2620921.37</v>
      </c>
      <c r="N16" s="8">
        <f>-J16+L16</f>
        <v>-48832.562457472377</v>
      </c>
    </row>
    <row r="17" spans="3:14" hidden="1" x14ac:dyDescent="0.35">
      <c r="C17" s="9">
        <v>2</v>
      </c>
      <c r="D17" s="8">
        <f t="shared" ref="D17:D27" si="2">((M16)*($E$6))</f>
        <v>47262.630556842436</v>
      </c>
      <c r="E17" s="8">
        <f>($E$7/$E$9)</f>
        <v>218410.11416666667</v>
      </c>
      <c r="F17" s="8">
        <f t="shared" si="0"/>
        <v>265672.74472350912</v>
      </c>
      <c r="G17" s="8">
        <f t="shared" si="1"/>
        <v>0</v>
      </c>
      <c r="H17" s="8">
        <f t="shared" ref="H17:H27" si="3">+($E$8/10^6)*M16</f>
        <v>1569.9319006300002</v>
      </c>
      <c r="I17" s="8">
        <f t="shared" ref="I17:I27" si="4">M16+D17+G17+H17</f>
        <v>2669753.9324574722</v>
      </c>
      <c r="J17" s="8">
        <f t="shared" ref="J17:J26" si="5">F17+G17+H17</f>
        <v>267242.67662413913</v>
      </c>
      <c r="K17" s="8">
        <f t="shared" ref="K17:K27" si="6">$E$7-($E$7-(J17-(G17+D17+H17)))</f>
        <v>218410.11416666675</v>
      </c>
      <c r="L17" s="8">
        <f t="shared" ref="L17:L26" si="7">K17</f>
        <v>218410.11416666675</v>
      </c>
      <c r="M17" s="8">
        <f>((M16+L17)-(J17-(G17+D17+H17)))</f>
        <v>2620921.37</v>
      </c>
      <c r="N17" s="8">
        <f>-J17+L17</f>
        <v>-48832.562457472377</v>
      </c>
    </row>
    <row r="18" spans="3:14" hidden="1" x14ac:dyDescent="0.35">
      <c r="C18" s="9">
        <v>3</v>
      </c>
      <c r="D18" s="8">
        <f t="shared" si="2"/>
        <v>47262.630556842436</v>
      </c>
      <c r="E18" s="8">
        <f>($E$7/$E$9)</f>
        <v>218410.11416666667</v>
      </c>
      <c r="F18" s="8">
        <f t="shared" si="0"/>
        <v>265672.74472350912</v>
      </c>
      <c r="G18" s="8">
        <f t="shared" si="1"/>
        <v>0</v>
      </c>
      <c r="H18" s="8">
        <f t="shared" si="3"/>
        <v>1569.9319006300002</v>
      </c>
      <c r="I18" s="8">
        <f t="shared" si="4"/>
        <v>2669753.9324574722</v>
      </c>
      <c r="J18" s="8">
        <f t="shared" si="5"/>
        <v>267242.67662413913</v>
      </c>
      <c r="K18" s="8">
        <f t="shared" si="6"/>
        <v>218410.11416666675</v>
      </c>
      <c r="L18" s="8">
        <f t="shared" si="7"/>
        <v>218410.11416666675</v>
      </c>
      <c r="M18" s="8">
        <f t="shared" ref="M18:M27" si="8">((M17+L18)-(J18-(G18+D18+H18)))</f>
        <v>2620921.37</v>
      </c>
      <c r="N18" s="8">
        <f>-J18+L18</f>
        <v>-48832.562457472377</v>
      </c>
    </row>
    <row r="19" spans="3:14" hidden="1" x14ac:dyDescent="0.35">
      <c r="C19" s="9">
        <v>4</v>
      </c>
      <c r="D19" s="8">
        <f t="shared" si="2"/>
        <v>47262.630556842436</v>
      </c>
      <c r="E19" s="8">
        <f t="shared" ref="E19:E27" si="9">($E$7/$E$9)</f>
        <v>218410.11416666667</v>
      </c>
      <c r="F19" s="8">
        <f t="shared" si="0"/>
        <v>265672.74472350912</v>
      </c>
      <c r="G19" s="8">
        <f t="shared" si="1"/>
        <v>0</v>
      </c>
      <c r="H19" s="8">
        <f t="shared" si="3"/>
        <v>1569.9319006300002</v>
      </c>
      <c r="I19" s="8">
        <f t="shared" si="4"/>
        <v>2669753.9324574722</v>
      </c>
      <c r="J19" s="8">
        <f t="shared" si="5"/>
        <v>267242.67662413913</v>
      </c>
      <c r="K19" s="8">
        <f t="shared" si="6"/>
        <v>218410.11416666675</v>
      </c>
      <c r="L19" s="8">
        <f t="shared" si="7"/>
        <v>218410.11416666675</v>
      </c>
      <c r="M19" s="8">
        <f t="shared" si="8"/>
        <v>2620921.37</v>
      </c>
      <c r="N19" s="8">
        <f t="shared" ref="N19:N27" si="10">-J19+L19</f>
        <v>-48832.562457472377</v>
      </c>
    </row>
    <row r="20" spans="3:14" hidden="1" x14ac:dyDescent="0.35">
      <c r="C20" s="9">
        <v>5</v>
      </c>
      <c r="D20" s="8">
        <f t="shared" si="2"/>
        <v>47262.630556842436</v>
      </c>
      <c r="E20" s="8">
        <f t="shared" si="9"/>
        <v>218410.11416666667</v>
      </c>
      <c r="F20" s="8">
        <f t="shared" si="0"/>
        <v>265672.74472350912</v>
      </c>
      <c r="G20" s="8">
        <f t="shared" si="1"/>
        <v>0</v>
      </c>
      <c r="H20" s="8">
        <f t="shared" si="3"/>
        <v>1569.9319006300002</v>
      </c>
      <c r="I20" s="8">
        <f t="shared" si="4"/>
        <v>2669753.9324574722</v>
      </c>
      <c r="J20" s="8">
        <f t="shared" si="5"/>
        <v>267242.67662413913</v>
      </c>
      <c r="K20" s="8">
        <f t="shared" si="6"/>
        <v>218410.11416666675</v>
      </c>
      <c r="L20" s="8">
        <f t="shared" si="7"/>
        <v>218410.11416666675</v>
      </c>
      <c r="M20" s="8">
        <f t="shared" si="8"/>
        <v>2620921.37</v>
      </c>
      <c r="N20" s="8">
        <f t="shared" si="10"/>
        <v>-48832.562457472377</v>
      </c>
    </row>
    <row r="21" spans="3:14" hidden="1" x14ac:dyDescent="0.35">
      <c r="C21" s="9">
        <v>6</v>
      </c>
      <c r="D21" s="8">
        <f t="shared" si="2"/>
        <v>47262.630556842436</v>
      </c>
      <c r="E21" s="8">
        <f t="shared" si="9"/>
        <v>218410.11416666667</v>
      </c>
      <c r="F21" s="8">
        <f t="shared" si="0"/>
        <v>265672.74472350912</v>
      </c>
      <c r="G21" s="8">
        <f t="shared" si="1"/>
        <v>0</v>
      </c>
      <c r="H21" s="8">
        <f t="shared" si="3"/>
        <v>1569.9319006300002</v>
      </c>
      <c r="I21" s="8">
        <f t="shared" si="4"/>
        <v>2669753.9324574722</v>
      </c>
      <c r="J21" s="8">
        <f t="shared" si="5"/>
        <v>267242.67662413913</v>
      </c>
      <c r="K21" s="8">
        <f t="shared" si="6"/>
        <v>218410.11416666675</v>
      </c>
      <c r="L21" s="8">
        <f t="shared" si="7"/>
        <v>218410.11416666675</v>
      </c>
      <c r="M21" s="8">
        <f t="shared" si="8"/>
        <v>2620921.37</v>
      </c>
      <c r="N21" s="8">
        <f t="shared" si="10"/>
        <v>-48832.562457472377</v>
      </c>
    </row>
    <row r="22" spans="3:14" hidden="1" x14ac:dyDescent="0.35">
      <c r="C22" s="9">
        <v>7</v>
      </c>
      <c r="D22" s="8">
        <f t="shared" si="2"/>
        <v>47262.630556842436</v>
      </c>
      <c r="E22" s="8">
        <f t="shared" si="9"/>
        <v>218410.11416666667</v>
      </c>
      <c r="F22" s="8">
        <f t="shared" si="0"/>
        <v>265672.74472350912</v>
      </c>
      <c r="G22" s="8">
        <f t="shared" si="1"/>
        <v>0</v>
      </c>
      <c r="H22" s="8">
        <f t="shared" si="3"/>
        <v>1569.9319006300002</v>
      </c>
      <c r="I22" s="8">
        <f t="shared" si="4"/>
        <v>2669753.9324574722</v>
      </c>
      <c r="J22" s="8">
        <f t="shared" si="5"/>
        <v>267242.67662413913</v>
      </c>
      <c r="K22" s="8">
        <f t="shared" si="6"/>
        <v>218410.11416666675</v>
      </c>
      <c r="L22" s="8">
        <f t="shared" si="7"/>
        <v>218410.11416666675</v>
      </c>
      <c r="M22" s="8">
        <f t="shared" si="8"/>
        <v>2620921.37</v>
      </c>
      <c r="N22" s="8">
        <f t="shared" si="10"/>
        <v>-48832.562457472377</v>
      </c>
    </row>
    <row r="23" spans="3:14" hidden="1" x14ac:dyDescent="0.35">
      <c r="C23" s="9">
        <v>8</v>
      </c>
      <c r="D23" s="8">
        <f t="shared" si="2"/>
        <v>47262.630556842436</v>
      </c>
      <c r="E23" s="8">
        <f t="shared" si="9"/>
        <v>218410.11416666667</v>
      </c>
      <c r="F23" s="8">
        <f t="shared" si="0"/>
        <v>265672.74472350912</v>
      </c>
      <c r="G23" s="8">
        <f t="shared" si="1"/>
        <v>0</v>
      </c>
      <c r="H23" s="8">
        <f t="shared" si="3"/>
        <v>1569.9319006300002</v>
      </c>
      <c r="I23" s="8">
        <f t="shared" si="4"/>
        <v>2669753.9324574722</v>
      </c>
      <c r="J23" s="8">
        <f t="shared" si="5"/>
        <v>267242.67662413913</v>
      </c>
      <c r="K23" s="8">
        <f t="shared" si="6"/>
        <v>218410.11416666675</v>
      </c>
      <c r="L23" s="8">
        <f t="shared" si="7"/>
        <v>218410.11416666675</v>
      </c>
      <c r="M23" s="8">
        <f t="shared" si="8"/>
        <v>2620921.37</v>
      </c>
      <c r="N23" s="8">
        <f t="shared" si="10"/>
        <v>-48832.562457472377</v>
      </c>
    </row>
    <row r="24" spans="3:14" hidden="1" x14ac:dyDescent="0.35">
      <c r="C24" s="9">
        <v>9</v>
      </c>
      <c r="D24" s="8">
        <f t="shared" si="2"/>
        <v>47262.630556842436</v>
      </c>
      <c r="E24" s="8">
        <f t="shared" si="9"/>
        <v>218410.11416666667</v>
      </c>
      <c r="F24" s="8">
        <f t="shared" si="0"/>
        <v>265672.74472350912</v>
      </c>
      <c r="G24" s="8">
        <f t="shared" si="1"/>
        <v>0</v>
      </c>
      <c r="H24" s="8">
        <f t="shared" si="3"/>
        <v>1569.9319006300002</v>
      </c>
      <c r="I24" s="8">
        <f t="shared" si="4"/>
        <v>2669753.9324574722</v>
      </c>
      <c r="J24" s="8">
        <f t="shared" si="5"/>
        <v>267242.67662413913</v>
      </c>
      <c r="K24" s="8">
        <f t="shared" si="6"/>
        <v>218410.11416666675</v>
      </c>
      <c r="L24" s="8">
        <f t="shared" si="7"/>
        <v>218410.11416666675</v>
      </c>
      <c r="M24" s="8">
        <f t="shared" si="8"/>
        <v>2620921.37</v>
      </c>
      <c r="N24" s="8">
        <f t="shared" si="10"/>
        <v>-48832.562457472377</v>
      </c>
    </row>
    <row r="25" spans="3:14" hidden="1" x14ac:dyDescent="0.35">
      <c r="C25" s="9">
        <v>10</v>
      </c>
      <c r="D25" s="8">
        <f t="shared" si="2"/>
        <v>47262.630556842436</v>
      </c>
      <c r="E25" s="8">
        <f t="shared" si="9"/>
        <v>218410.11416666667</v>
      </c>
      <c r="F25" s="8">
        <f t="shared" si="0"/>
        <v>265672.74472350912</v>
      </c>
      <c r="G25" s="8">
        <f t="shared" si="1"/>
        <v>0</v>
      </c>
      <c r="H25" s="8">
        <f t="shared" si="3"/>
        <v>1569.9319006300002</v>
      </c>
      <c r="I25" s="8">
        <f t="shared" si="4"/>
        <v>2669753.9324574722</v>
      </c>
      <c r="J25" s="8">
        <f t="shared" si="5"/>
        <v>267242.67662413913</v>
      </c>
      <c r="K25" s="8">
        <f t="shared" si="6"/>
        <v>218410.11416666675</v>
      </c>
      <c r="L25" s="8">
        <f t="shared" si="7"/>
        <v>218410.11416666675</v>
      </c>
      <c r="M25" s="8">
        <f t="shared" si="8"/>
        <v>2620921.37</v>
      </c>
      <c r="N25" s="8">
        <f t="shared" si="10"/>
        <v>-48832.562457472377</v>
      </c>
    </row>
    <row r="26" spans="3:14" hidden="1" x14ac:dyDescent="0.35">
      <c r="C26" s="9">
        <v>11</v>
      </c>
      <c r="D26" s="8">
        <f t="shared" si="2"/>
        <v>47262.630556842436</v>
      </c>
      <c r="E26" s="8">
        <f t="shared" si="9"/>
        <v>218410.11416666667</v>
      </c>
      <c r="F26" s="8">
        <f t="shared" si="0"/>
        <v>265672.74472350912</v>
      </c>
      <c r="G26" s="8">
        <f t="shared" si="1"/>
        <v>0</v>
      </c>
      <c r="H26" s="8">
        <f t="shared" si="3"/>
        <v>1569.9319006300002</v>
      </c>
      <c r="I26" s="8">
        <f t="shared" si="4"/>
        <v>2669753.9324574722</v>
      </c>
      <c r="J26" s="8">
        <f t="shared" si="5"/>
        <v>267242.67662413913</v>
      </c>
      <c r="K26" s="8">
        <f t="shared" si="6"/>
        <v>218410.11416666675</v>
      </c>
      <c r="L26" s="8">
        <f t="shared" si="7"/>
        <v>218410.11416666675</v>
      </c>
      <c r="M26" s="8">
        <f t="shared" si="8"/>
        <v>2620921.37</v>
      </c>
      <c r="N26" s="8">
        <f t="shared" si="10"/>
        <v>-48832.562457472377</v>
      </c>
    </row>
    <row r="27" spans="3:14" hidden="1" x14ac:dyDescent="0.35">
      <c r="C27" s="9">
        <v>12</v>
      </c>
      <c r="D27" s="8">
        <f t="shared" si="2"/>
        <v>47262.630556842436</v>
      </c>
      <c r="E27" s="8">
        <f t="shared" si="9"/>
        <v>218410.11416666667</v>
      </c>
      <c r="F27" s="8">
        <f t="shared" si="0"/>
        <v>265672.74472350912</v>
      </c>
      <c r="G27" s="8">
        <f t="shared" si="1"/>
        <v>0</v>
      </c>
      <c r="H27" s="8">
        <f t="shared" si="3"/>
        <v>1569.9319006300002</v>
      </c>
      <c r="I27" s="8">
        <f t="shared" si="4"/>
        <v>2669753.9324574722</v>
      </c>
      <c r="J27" s="8">
        <f>+I27</f>
        <v>2669753.9324574722</v>
      </c>
      <c r="K27" s="8">
        <f t="shared" si="6"/>
        <v>2620921.3699999996</v>
      </c>
      <c r="L27" s="8">
        <v>0</v>
      </c>
      <c r="M27" s="8">
        <f t="shared" si="8"/>
        <v>4.6566128730773926E-10</v>
      </c>
      <c r="N27" s="8">
        <f t="shared" si="10"/>
        <v>-2669753.9324574722</v>
      </c>
    </row>
    <row r="28" spans="3:14" hidden="1" x14ac:dyDescent="0.35">
      <c r="C28" s="17"/>
      <c r="D28" s="17"/>
      <c r="E28" s="17"/>
      <c r="F28" s="17"/>
      <c r="G28" s="23"/>
      <c r="H28" s="23"/>
      <c r="I28" s="17"/>
      <c r="J28" s="17"/>
      <c r="K28" s="17"/>
      <c r="L28" s="17"/>
      <c r="M28" s="17"/>
      <c r="N28" s="17"/>
    </row>
    <row r="29" spans="3:14" hidden="1" x14ac:dyDescent="0.35">
      <c r="C29" s="17"/>
      <c r="D29" s="19"/>
      <c r="E29" s="17"/>
      <c r="F29" s="19"/>
      <c r="G29" s="17"/>
      <c r="H29" s="17"/>
      <c r="I29" s="17"/>
      <c r="J29" s="17"/>
      <c r="K29" s="17"/>
      <c r="L29" s="17"/>
      <c r="M29" s="38" t="s">
        <v>23</v>
      </c>
      <c r="N29" s="10">
        <f>+IRR(N15:N27)</f>
        <v>1.8631830399960636E-2</v>
      </c>
    </row>
    <row r="30" spans="3:14" hidden="1" x14ac:dyDescent="0.35">
      <c r="C30" s="17"/>
      <c r="D30" s="19"/>
      <c r="E30" s="17"/>
      <c r="F30" s="19"/>
      <c r="G30" s="17"/>
      <c r="H30" s="17"/>
      <c r="I30" s="17"/>
      <c r="J30" s="17"/>
      <c r="K30" s="17"/>
      <c r="L30" s="17"/>
      <c r="M30" s="17"/>
      <c r="N30" s="17"/>
    </row>
    <row r="31" spans="3:14" hidden="1" x14ac:dyDescent="0.35">
      <c r="G31" s="17"/>
      <c r="H31" s="17"/>
      <c r="I31" s="17"/>
      <c r="J31" s="17"/>
      <c r="K31" s="17"/>
      <c r="L31" s="17"/>
      <c r="M31" s="17"/>
      <c r="N31" s="17"/>
    </row>
    <row r="32" spans="3:14" hidden="1" x14ac:dyDescent="0.35">
      <c r="G32" s="17"/>
      <c r="H32" s="17"/>
      <c r="I32" s="17"/>
      <c r="J32" s="17"/>
      <c r="K32" s="17"/>
      <c r="L32" s="17"/>
      <c r="M32" s="17"/>
      <c r="N32" s="17"/>
    </row>
    <row r="33" spans="7:14" hidden="1" x14ac:dyDescent="0.35">
      <c r="G33" s="17"/>
      <c r="H33" s="17"/>
      <c r="I33" s="17"/>
      <c r="J33" s="17"/>
      <c r="K33" s="17"/>
      <c r="L33" s="17"/>
      <c r="M33" s="17"/>
      <c r="N33" s="17"/>
    </row>
    <row r="34" spans="7:14" hidden="1" x14ac:dyDescent="0.35">
      <c r="G34" s="17"/>
      <c r="H34" s="17"/>
      <c r="I34" s="17"/>
      <c r="J34" s="17"/>
      <c r="K34" s="17"/>
      <c r="L34" s="17"/>
      <c r="M34" s="17"/>
      <c r="N34" s="17"/>
    </row>
    <row r="35" spans="7:14" hidden="1" x14ac:dyDescent="0.35">
      <c r="G35" s="17"/>
      <c r="H35" s="17"/>
      <c r="I35" s="17"/>
      <c r="J35" s="17"/>
      <c r="K35" s="17"/>
      <c r="L35" s="17"/>
      <c r="M35" s="17"/>
      <c r="N35" s="17"/>
    </row>
  </sheetData>
  <sheetProtection algorithmName="SHA-512" hashValue="ibB+IvQhXVNHs6YUkRwYj7vUH9YUeSKX/DSuGZDuwl+5vMgBi9wKAwmEmD4W0hAhUU3dl3NtUL8uNOxX4uSrkQ==" saltValue="MyVy/5Y9hFxctFTNCfp4kg==" spinCount="100000" sheet="1" selectLockedCells="1"/>
  <mergeCells count="13">
    <mergeCell ref="C9:D9"/>
    <mergeCell ref="C10:D10"/>
    <mergeCell ref="C3:E3"/>
    <mergeCell ref="G3:I3"/>
    <mergeCell ref="C4:D4"/>
    <mergeCell ref="C7:D7"/>
    <mergeCell ref="C5:D6"/>
    <mergeCell ref="G4:H4"/>
    <mergeCell ref="G5:H5"/>
    <mergeCell ref="G7:H7"/>
    <mergeCell ref="G8:H8"/>
    <mergeCell ref="G6:H6"/>
    <mergeCell ref="C8:D8"/>
  </mergeCells>
  <conditionalFormatting sqref="G4:G6">
    <cfRule type="expression" dxfId="1" priority="1">
      <formula>#REF!=1</formula>
    </cfRule>
  </conditionalFormatting>
  <conditionalFormatting sqref="G7:G8">
    <cfRule type="expression" dxfId="0" priority="3">
      <formula>#REF!=1</formula>
    </cfRule>
  </conditionalFormatting>
  <pageMargins left="0.7" right="0.7" top="0.75" bottom="0.75" header="0.3" footer="0.3"/>
  <pageSetup scale="53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61DC643-3A84-4707-986F-DE8F7C17BCE4}">
          <x14:formula1>
            <xm:f>Parametros!$B$1:$B$2</xm:f>
          </x14:formula1>
          <xm:sqref>E4</xm:sqref>
        </x14:dataValidation>
        <x14:dataValidation type="list" allowBlank="1" showInputMessage="1" showErrorMessage="1" xr:uid="{2D2BAA56-53E3-4213-9AA2-232A92DAA81F}">
          <x14:formula1>
            <xm:f>Parametros!$B$6:$B$7</xm:f>
          </x14:formula1>
          <xm:sqref>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37D5F-D9FE-428C-B79E-75A065CE46B3}">
  <sheetPr codeName="Hoja2"/>
  <dimension ref="A1:B8"/>
  <sheetViews>
    <sheetView showGridLines="0" workbookViewId="0">
      <selection activeCell="B7" sqref="B7"/>
    </sheetView>
  </sheetViews>
  <sheetFormatPr baseColWidth="10" defaultRowHeight="14.5" x14ac:dyDescent="0.35"/>
  <cols>
    <col min="2" max="2" width="12.81640625" bestFit="1" customWidth="1"/>
  </cols>
  <sheetData>
    <row r="1" spans="1:2" ht="15" thickBot="1" x14ac:dyDescent="0.4">
      <c r="A1" s="49" t="s">
        <v>20</v>
      </c>
      <c r="B1" s="3">
        <v>52.63</v>
      </c>
    </row>
    <row r="2" spans="1:2" ht="15.5" thickTop="1" thickBot="1" x14ac:dyDescent="0.4">
      <c r="A2" s="50"/>
      <c r="B2" s="3">
        <v>157.88</v>
      </c>
    </row>
    <row r="3" spans="1:2" ht="15.5" thickTop="1" thickBot="1" x14ac:dyDescent="0.4"/>
    <row r="4" spans="1:2" ht="15" thickBot="1" x14ac:dyDescent="0.4">
      <c r="A4" s="1" t="s">
        <v>27</v>
      </c>
      <c r="B4" s="2">
        <v>49799</v>
      </c>
    </row>
    <row r="5" spans="1:2" ht="15" thickBot="1" x14ac:dyDescent="0.4"/>
    <row r="6" spans="1:2" ht="15" thickBot="1" x14ac:dyDescent="0.4">
      <c r="A6" s="49" t="s">
        <v>26</v>
      </c>
      <c r="B6" s="3">
        <f>+UVT*B1</f>
        <v>2620921.37</v>
      </c>
    </row>
    <row r="7" spans="1:2" ht="15.5" thickTop="1" thickBot="1" x14ac:dyDescent="0.4">
      <c r="A7" s="50"/>
      <c r="B7" s="3">
        <f>+UVT*B2</f>
        <v>7862266.1200000001</v>
      </c>
    </row>
    <row r="8" spans="1:2" ht="15" thickTop="1" x14ac:dyDescent="0.35"/>
  </sheetData>
  <mergeCells count="2">
    <mergeCell ref="A1:A2"/>
    <mergeCell ref="A6:A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SIMULADOR VTU</vt:lpstr>
      <vt:lpstr>Parametros</vt:lpstr>
      <vt:lpstr>UVT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Reyes</dc:creator>
  <cp:lastModifiedBy>Hernan Vicente Maya Riascos</cp:lastModifiedBy>
  <cp:lastPrinted>2023-07-26T13:25:26Z</cp:lastPrinted>
  <dcterms:created xsi:type="dcterms:W3CDTF">2023-06-01T22:24:18Z</dcterms:created>
  <dcterms:modified xsi:type="dcterms:W3CDTF">2025-02-28T23:03:42Z</dcterms:modified>
</cp:coreProperties>
</file>